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9-2023- Serv  Manut Prev Cor Equip Sist de Ger Energ Util\Publicação\"/>
    </mc:Choice>
  </mc:AlternateContent>
  <xr:revisionPtr revIDLastSave="0" documentId="8_{2C6CFC79-2391-4593-911B-9907E759A802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ORÇAMENTO ANALÍTICO" sheetId="1" r:id="rId1"/>
    <sheet name="BDI" sheetId="2" r:id="rId2"/>
    <sheet name="ORÇAMENTO SINTÉTIC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F14" i="1" l="1"/>
  <c r="E14" i="2"/>
  <c r="F21" i="1" l="1"/>
  <c r="F20" i="1"/>
  <c r="F19" i="1"/>
  <c r="F18" i="1"/>
  <c r="F17" i="1"/>
  <c r="F16" i="1"/>
  <c r="F15" i="1"/>
  <c r="E18" i="2" l="1"/>
  <c r="E23" i="2" l="1"/>
  <c r="H13" i="3" s="1"/>
  <c r="I13" i="3" s="1"/>
  <c r="H45" i="1"/>
  <c r="H44" i="1"/>
  <c r="H43" i="1"/>
  <c r="H42" i="1"/>
  <c r="H41" i="1"/>
  <c r="H40" i="1"/>
  <c r="H39" i="1"/>
  <c r="H38" i="1"/>
  <c r="H34" i="1" l="1"/>
  <c r="H33" i="1"/>
  <c r="H32" i="1"/>
  <c r="F22" i="1" l="1"/>
  <c r="H21" i="1" l="1"/>
  <c r="H20" i="1"/>
  <c r="B14" i="3" l="1"/>
  <c r="D28" i="1"/>
  <c r="D29" i="1" s="1"/>
  <c r="D30" i="1" s="1"/>
  <c r="D31" i="1" s="1"/>
  <c r="D32" i="1" s="1"/>
  <c r="D33" i="1" s="1"/>
  <c r="D34" i="1" s="1"/>
  <c r="D35" i="1" s="1"/>
  <c r="D36" i="1" l="1"/>
  <c r="D37" i="1" s="1"/>
  <c r="D38" i="1" s="1"/>
  <c r="D39" i="1" s="1"/>
  <c r="D40" i="1" s="1"/>
  <c r="D41" i="1" s="1"/>
  <c r="D42" i="1" s="1"/>
  <c r="D43" i="1" s="1"/>
  <c r="D44" i="1" s="1"/>
  <c r="D15" i="1"/>
  <c r="D16" i="1" s="1"/>
  <c r="D17" i="1" s="1"/>
  <c r="D18" i="1" s="1"/>
  <c r="D19" i="1" l="1"/>
  <c r="D20" i="1" s="1"/>
  <c r="H18" i="1"/>
  <c r="H31" i="1"/>
  <c r="H28" i="1"/>
  <c r="H19" i="1"/>
  <c r="H35" i="1"/>
  <c r="H16" i="1"/>
  <c r="H29" i="1"/>
  <c r="H36" i="1"/>
  <c r="H27" i="1"/>
  <c r="H17" i="1"/>
  <c r="H30" i="1"/>
  <c r="H22" i="1"/>
  <c r="D21" i="1" l="1"/>
  <c r="H37" i="1"/>
  <c r="G46" i="1" s="1"/>
  <c r="G47" i="1" l="1"/>
  <c r="G48" i="1" s="1"/>
  <c r="G15" i="3" s="1"/>
  <c r="D22" i="1"/>
  <c r="H15" i="3" l="1"/>
  <c r="I15" i="3" s="1"/>
  <c r="I14" i="3" l="1"/>
  <c r="I19" i="3"/>
  <c r="H15" i="1"/>
  <c r="H14" i="1"/>
  <c r="G23" i="1" l="1"/>
  <c r="G13" i="3" s="1"/>
  <c r="I17" i="3" s="1"/>
  <c r="I12" i="3" l="1"/>
  <c r="I18" i="3" l="1"/>
  <c r="J13" i="3"/>
  <c r="J12" i="3" s="1"/>
  <c r="J14" i="3" l="1"/>
  <c r="J15" i="3"/>
</calcChain>
</file>

<file path=xl/sharedStrings.xml><?xml version="1.0" encoding="utf-8"?>
<sst xmlns="http://schemas.openxmlformats.org/spreadsheetml/2006/main" count="166" uniqueCount="108">
  <si>
    <t>Composições Analíticas com Preço Unitário</t>
  </si>
  <si>
    <t>Composições Principais</t>
  </si>
  <si>
    <t>Código</t>
  </si>
  <si>
    <t>Banco</t>
  </si>
  <si>
    <t>Descrição</t>
  </si>
  <si>
    <t>Valor Unit</t>
  </si>
  <si>
    <t>Total</t>
  </si>
  <si>
    <t>1.</t>
  </si>
  <si>
    <t>TOTAL</t>
  </si>
  <si>
    <t>FIOCRUZ</t>
  </si>
  <si>
    <t>Classe</t>
  </si>
  <si>
    <t>ITEM</t>
  </si>
  <si>
    <t>DESCRIÇÃO</t>
  </si>
  <si>
    <t>PERC (%)</t>
  </si>
  <si>
    <t>01</t>
  </si>
  <si>
    <t>ADMINISTRAÇÃO CENTRAL (AC)</t>
  </si>
  <si>
    <t>02</t>
  </si>
  <si>
    <t>LUCRO (L)</t>
  </si>
  <si>
    <t>03</t>
  </si>
  <si>
    <t>DESPESAS FINANCEIRAS (DF)</t>
  </si>
  <si>
    <t>04</t>
  </si>
  <si>
    <t>SEGUROS, RISCOS E GARANTIAS (SRG)</t>
  </si>
  <si>
    <t>04.1</t>
  </si>
  <si>
    <t>Seguros</t>
  </si>
  <si>
    <t>04.2</t>
  </si>
  <si>
    <t>Garantias</t>
  </si>
  <si>
    <t>04.3</t>
  </si>
  <si>
    <t>Riscos</t>
  </si>
  <si>
    <t>05</t>
  </si>
  <si>
    <t>TRIBUTOS (T)</t>
  </si>
  <si>
    <t>05.1</t>
  </si>
  <si>
    <t>Cofins</t>
  </si>
  <si>
    <t>05.2</t>
  </si>
  <si>
    <t>PIS</t>
  </si>
  <si>
    <t>05.3</t>
  </si>
  <si>
    <t>ISS</t>
  </si>
  <si>
    <t>05.4</t>
  </si>
  <si>
    <t>BDI (%):</t>
  </si>
  <si>
    <t>FÓRMULA ADOTADA:</t>
  </si>
  <si>
    <t>FONTE:</t>
  </si>
  <si>
    <t>Acórdão nº 2622/2013-Plenário-TCU.</t>
  </si>
  <si>
    <t xml:space="preserve">* Cabe destacar que o % de ISS foi calculado através da relação Custo de Mão de Obra do Orçamento/Valor total do Custo da Obra. Lembrando que foi adotada a metodologia não desonerada da folha de pagamento. </t>
  </si>
  <si>
    <t>COMPOSIÇÃO DO BDI</t>
  </si>
  <si>
    <t>Item</t>
  </si>
  <si>
    <t>Peso (%)</t>
  </si>
  <si>
    <t>COMP. 1</t>
  </si>
  <si>
    <t>1.1</t>
  </si>
  <si>
    <t>2.1</t>
  </si>
  <si>
    <t>COMP. 2</t>
  </si>
  <si>
    <t>TOTAL SEM BDI --&gt;</t>
  </si>
  <si>
    <t>CUSTO DO BDI --&gt;</t>
  </si>
  <si>
    <t>TOTAL COM BDI --&gt;</t>
  </si>
  <si>
    <t xml:space="preserve">Planilha Orçamentária Sintética </t>
  </si>
  <si>
    <t>Título:</t>
  </si>
  <si>
    <t>CBPR</t>
  </si>
  <si>
    <r>
      <rPr>
        <b/>
        <sz val="10"/>
        <color indexed="8"/>
        <rFont val="Arial"/>
        <family val="2"/>
      </rPr>
      <t>Nota1:</t>
    </r>
    <r>
      <rPr>
        <sz val="10"/>
        <color indexed="8"/>
        <rFont val="Arial"/>
        <family val="2"/>
      </rPr>
      <t xml:space="preserve"> Este orçamento estimativo, apresentado pela FIOCRUZ, é meramente referencial, sendo de inteira responsabilidade da Empresa Licitante toda e qualquer conferência de quantidades de serviços necessários para o cumprimento integral do objeto e do escopo desta licitação. Caso seja verificado a necessidade de alterações, as licitantes deverão consultar por escrito a Comissão de Licitações, em 5 (cinco) dias antes da abertura da licitação, sobre possibilidade de alteração. A consulta será analisada e, caso seja pertinente, a Comissão procederá conforme o disposto no artigo 21, parágrafo 1º, da Lei 8.666/93.
</t>
    </r>
    <r>
      <rPr>
        <b/>
        <sz val="10"/>
        <color indexed="8"/>
        <rFont val="Arial"/>
        <family val="2"/>
      </rPr>
      <t xml:space="preserve">Nota2: </t>
    </r>
    <r>
      <rPr>
        <sz val="10"/>
        <color indexed="8"/>
        <rFont val="Arial"/>
        <family val="2"/>
      </rPr>
      <t xml:space="preserve">A Empresa Licitante deve declarar expressamente em sua proposta que os preços unitários ofertados incluem todos os custos diretos e indiretos para perfeita execução dos serviços, inclusive das despesas com materiais e/ou equipamentos, ferramentas, fretes, transportes, carga, descarga, armazenagem, vigilância, logística, manutenção, conservação, instalação, supervisão, gerenciamento, operação, processamento, tratamento, combustíveis, despesas junto a concessionárias públicas (água, energia, gás, telefone, esgoto), mão de obra especializada ou não, seguros em geral, garantias, encargos financeiros, riscos, encargos da Legislação Social Trabalhista, Previdenciária, da Infortunística do Trabalho e responsabilidade civil por qualquer dano causado a terceiros ou dispêndios resultantes de tributos, taxas, emolumentos, multas, regulamentos e posturas municipais, estaduais e federais, enfim, tudo o que for necessário para a execução total e completa dos serviços, bem como o seu lucro, conforme especificações constantes do Edital, sem que caiba, em qualquer caso, qualquer tipo de pleito ao contratante com a alegação de que alguma parcela do custo foi omitida.
</t>
    </r>
  </si>
  <si>
    <t>ANEXO IV</t>
  </si>
  <si>
    <t>Serviço</t>
  </si>
  <si>
    <t>Fiocruz</t>
  </si>
  <si>
    <t>equipamento.mês</t>
  </si>
  <si>
    <t>Serviço mensal de manutenção preventiva em Transdutor de Energia com Memória de Massa e Ethernet</t>
  </si>
  <si>
    <t>Serviço mensal de manutenção preventiva em Transdutor de Energia  sem Ethernet</t>
  </si>
  <si>
    <t>Serviço mensal de manutenção preventiva em Gateway TCP/IP conversor Modbus para Ethernet</t>
  </si>
  <si>
    <t>Serviço mensal de manutenção preventiva em  Medidor de Grandezas Elétricas</t>
  </si>
  <si>
    <t>Serviço mensal de manutenção preventiva em Gerenciador de Energia Multifuncional</t>
  </si>
  <si>
    <t>Serviço mensal de manutenção preventiva em Entradas Digitais e Totalizador de Pulsos</t>
  </si>
  <si>
    <t>2.</t>
  </si>
  <si>
    <t>serviço</t>
  </si>
  <si>
    <t>Reparo em Gerenciador de Energia Multifuncional</t>
  </si>
  <si>
    <t>Reparo em  Medidor de Grandezas Elétricas</t>
  </si>
  <si>
    <t>Reparo em Transdutor de Energia com Memória de Massa e Ethernet</t>
  </si>
  <si>
    <t>Reparo em Transdutor de Energia  sem Ethernet</t>
  </si>
  <si>
    <t>Reparo em Gateway TCP/IP conversor Modbus para Ethernet</t>
  </si>
  <si>
    <t>Reparo em Entradas Digitais e Totalizador de Pulsos</t>
  </si>
  <si>
    <t>Substituição de Entradas Digitais e Totalizador de Pulsos</t>
  </si>
  <si>
    <t>Substituição de Gateway TCP/IP conversor Modbus para Ethernet</t>
  </si>
  <si>
    <t>Substituição de Transdutor de Energia  sem Ethernet</t>
  </si>
  <si>
    <t>Substituição de Transdutor de Energia com Memória de Massa e Ethernet</t>
  </si>
  <si>
    <t>Substituição de Gerenciador de Energia Multifuncional</t>
  </si>
  <si>
    <t>Material + Serviço</t>
  </si>
  <si>
    <t>Passagem de fibra ótica e fusão</t>
  </si>
  <si>
    <t>SERVIÇO DE MANUTENÇÃO PREVENTIVA</t>
  </si>
  <si>
    <t>SERVIÇO DE MANUTENÇÃO CORRETIVA</t>
  </si>
  <si>
    <t>serv</t>
  </si>
  <si>
    <t>Manutenção Preventiva mensal</t>
  </si>
  <si>
    <t>Manutenção Corretiva Mensal</t>
  </si>
  <si>
    <t>Serviço mensal de manutenção preventiva em Conversor Fibra Ótica/RS485 - Meio de Rede</t>
  </si>
  <si>
    <t>Serviço mensal de manutenção preventiva em Conversor Fibra Ótica/RS485 - Ponta de Rede</t>
  </si>
  <si>
    <t>Serviço mensal de manutenção preventiva Registrador Digital/Analógico</t>
  </si>
  <si>
    <t>Reparo em Conversor Fibra Ótica/RS485 - Ponta de Rede</t>
  </si>
  <si>
    <t>Reparo em Conversor Fibra Ótica/RS485 - Meio de Rede</t>
  </si>
  <si>
    <t>Reparo em Registrador Digital/Analógico</t>
  </si>
  <si>
    <t>Substituição de Medidor de Grandezas Elétricas</t>
  </si>
  <si>
    <t>Substituição de Conversor Fibra Ótica/RS485 - Ponta de Rede</t>
  </si>
  <si>
    <t>Substituição de Conversor Fibra Ótica/RS485 - Meio de Rede</t>
  </si>
  <si>
    <t>Substituição de Registrador Digital/Analógico</t>
  </si>
  <si>
    <t>Valor Estimado Anual</t>
  </si>
  <si>
    <t>Serviços não previstos com estimativa de 20% sobre o total</t>
  </si>
  <si>
    <t>Custo Total estimado dos Serviços de Manutenção Corretiva para 12 meses</t>
  </si>
  <si>
    <t>Und.</t>
  </si>
  <si>
    <t>Quant. Anual de Preventivas</t>
  </si>
  <si>
    <t xml:space="preserve">Quantidade de Equipamentos </t>
  </si>
  <si>
    <t>Quant. Média Anual Prevista</t>
  </si>
  <si>
    <t>metro</t>
  </si>
  <si>
    <t>Valor Mensal (Sem BDI)</t>
  </si>
  <si>
    <t>Valor Mensal (com BDI)</t>
  </si>
  <si>
    <t>Total R$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</si>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</sst>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#,##0.00\ %"/>
    <numFmt numFmtId="166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0"/>
      <color rgb="FF000000"/>
      <name val="Arial"/>
      <family val="1"/>
    </font>
    <font>
      <b/>
      <sz val="13"/>
      <name val="Arial"/>
      <family val="1"/>
    </font>
    <font>
      <sz val="13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B7CBE3"/>
        <bgColor indexed="64"/>
      </patternFill>
    </fill>
    <fill>
      <patternFill patternType="solid">
        <fgColor rgb="FFD8ECF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medium">
        <color theme="1" tint="0.499984740745262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theme="1" tint="0.499984740745262"/>
      </left>
      <right style="thin">
        <color rgb="FFCCCCCC"/>
      </right>
      <top style="thin">
        <color rgb="FFCCCCCC"/>
      </top>
      <bottom style="medium">
        <color theme="1" tint="0.499984740745262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 style="medium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 tint="0.499984740745262"/>
      </bottom>
      <diagonal/>
    </border>
    <border>
      <left style="thin">
        <color theme="0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medium">
        <color theme="1" tint="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22" fillId="0" borderId="0"/>
    <xf numFmtId="166" fontId="7" fillId="0" borderId="0" applyFont="0" applyFill="0" applyBorder="0" applyAlignment="0" applyProtection="0"/>
  </cellStyleXfs>
  <cellXfs count="134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9" fillId="0" borderId="0" xfId="5" applyFont="1"/>
    <xf numFmtId="0" fontId="10" fillId="6" borderId="3" xfId="4" applyFont="1" applyBorder="1" applyAlignment="1" applyProtection="1">
      <alignment horizontal="center"/>
    </xf>
    <xf numFmtId="0" fontId="10" fillId="6" borderId="4" xfId="4" applyFont="1" applyBorder="1" applyAlignment="1" applyProtection="1">
      <alignment horizontal="center"/>
    </xf>
    <xf numFmtId="0" fontId="11" fillId="0" borderId="4" xfId="5" applyFont="1" applyBorder="1" applyAlignment="1">
      <alignment horizontal="center"/>
    </xf>
    <xf numFmtId="0" fontId="11" fillId="0" borderId="5" xfId="5" applyFont="1" applyBorder="1"/>
    <xf numFmtId="10" fontId="11" fillId="0" borderId="6" xfId="6" applyNumberFormat="1" applyFont="1" applyBorder="1" applyAlignment="1" applyProtection="1">
      <alignment horizontal="center"/>
    </xf>
    <xf numFmtId="0" fontId="11" fillId="0" borderId="4" xfId="5" quotePrefix="1" applyFont="1" applyBorder="1" applyAlignment="1">
      <alignment horizontal="center"/>
    </xf>
    <xf numFmtId="49" fontId="11" fillId="0" borderId="4" xfId="5" quotePrefix="1" applyNumberFormat="1" applyFont="1" applyBorder="1" applyAlignment="1">
      <alignment horizontal="center"/>
    </xf>
    <xf numFmtId="49" fontId="11" fillId="0" borderId="6" xfId="5" quotePrefix="1" applyNumberFormat="1" applyFont="1" applyBorder="1" applyAlignment="1">
      <alignment horizontal="center"/>
    </xf>
    <xf numFmtId="0" fontId="11" fillId="0" borderId="7" xfId="5" applyFont="1" applyBorder="1"/>
    <xf numFmtId="49" fontId="9" fillId="0" borderId="6" xfId="5" applyNumberFormat="1" applyFont="1" applyBorder="1" applyAlignment="1">
      <alignment horizontal="center"/>
    </xf>
    <xf numFmtId="0" fontId="9" fillId="0" borderId="4" xfId="5" applyFont="1" applyBorder="1"/>
    <xf numFmtId="49" fontId="9" fillId="0" borderId="6" xfId="5" quotePrefix="1" applyNumberFormat="1" applyFont="1" applyBorder="1" applyAlignment="1">
      <alignment horizontal="center"/>
    </xf>
    <xf numFmtId="49" fontId="11" fillId="0" borderId="6" xfId="5" applyNumberFormat="1" applyFont="1" applyBorder="1" applyAlignment="1">
      <alignment horizontal="center"/>
    </xf>
    <xf numFmtId="0" fontId="11" fillId="0" borderId="4" xfId="5" applyFont="1" applyBorder="1"/>
    <xf numFmtId="0" fontId="9" fillId="0" borderId="8" xfId="5" applyFont="1" applyBorder="1"/>
    <xf numFmtId="0" fontId="12" fillId="6" borderId="9" xfId="4" applyFont="1" applyBorder="1"/>
    <xf numFmtId="0" fontId="13" fillId="7" borderId="5" xfId="4" applyFont="1" applyFill="1" applyBorder="1" applyAlignment="1">
      <alignment horizontal="right"/>
    </xf>
    <xf numFmtId="10" fontId="14" fillId="7" borderId="4" xfId="3" applyNumberFormat="1" applyFont="1" applyFill="1" applyBorder="1" applyAlignment="1" applyProtection="1">
      <alignment horizontal="center"/>
      <protection hidden="1"/>
    </xf>
    <xf numFmtId="0" fontId="12" fillId="0" borderId="0" xfId="4" applyFont="1" applyFill="1" applyBorder="1"/>
    <xf numFmtId="0" fontId="13" fillId="0" borderId="10" xfId="4" applyFont="1" applyFill="1" applyBorder="1" applyAlignment="1">
      <alignment horizontal="right"/>
    </xf>
    <xf numFmtId="10" fontId="14" fillId="0" borderId="0" xfId="6" applyNumberFormat="1" applyFont="1" applyFill="1" applyBorder="1" applyAlignment="1" applyProtection="1">
      <alignment horizontal="center"/>
      <protection hidden="1"/>
    </xf>
    <xf numFmtId="4" fontId="15" fillId="8" borderId="1" xfId="0" applyNumberFormat="1" applyFont="1" applyFill="1" applyBorder="1" applyAlignment="1">
      <alignment horizontal="center" vertical="center" wrapText="1"/>
    </xf>
    <xf numFmtId="44" fontId="0" fillId="0" borderId="4" xfId="2" applyFon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18" fillId="0" borderId="0" xfId="0" applyFont="1" applyAlignment="1">
      <alignment horizontal="center"/>
    </xf>
    <xf numFmtId="10" fontId="9" fillId="0" borderId="6" xfId="6" applyNumberFormat="1" applyFont="1" applyFill="1" applyBorder="1" applyAlignment="1" applyProtection="1">
      <alignment horizontal="center"/>
    </xf>
    <xf numFmtId="0" fontId="21" fillId="0" borderId="0" xfId="0" applyFont="1"/>
    <xf numFmtId="43" fontId="0" fillId="0" borderId="0" xfId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5" borderId="22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4" fontId="2" fillId="5" borderId="24" xfId="0" applyNumberFormat="1" applyFont="1" applyFill="1" applyBorder="1" applyAlignment="1">
      <alignment horizontal="center" vertical="center" wrapText="1"/>
    </xf>
    <xf numFmtId="4" fontId="2" fillId="10" borderId="2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0" fontId="0" fillId="0" borderId="0" xfId="0" applyNumberFormat="1"/>
    <xf numFmtId="10" fontId="0" fillId="0" borderId="0" xfId="3" applyNumberFormat="1" applyFont="1"/>
    <xf numFmtId="4" fontId="2" fillId="9" borderId="19" xfId="0" applyNumberFormat="1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vertical="center" wrapText="1"/>
    </xf>
    <xf numFmtId="4" fontId="23" fillId="9" borderId="33" xfId="0" applyNumberFormat="1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37" xfId="0" applyFont="1" applyFill="1" applyBorder="1" applyAlignment="1">
      <alignment horizontal="center" vertical="center" wrapText="1"/>
    </xf>
    <xf numFmtId="0" fontId="2" fillId="10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5" fontId="15" fillId="8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vertical="center"/>
    </xf>
    <xf numFmtId="44" fontId="2" fillId="3" borderId="1" xfId="2" applyFont="1" applyFill="1" applyBorder="1" applyAlignment="1">
      <alignment horizontal="center" vertical="center" wrapText="1"/>
    </xf>
    <xf numFmtId="44" fontId="2" fillId="3" borderId="1" xfId="2" applyFont="1" applyFill="1" applyBorder="1" applyAlignment="1">
      <alignment horizontal="left" vertical="center" wrapText="1"/>
    </xf>
    <xf numFmtId="44" fontId="2" fillId="3" borderId="1" xfId="2" applyFont="1" applyFill="1" applyBorder="1" applyAlignment="1">
      <alignment horizontal="right" vertical="center" wrapText="1"/>
    </xf>
    <xf numFmtId="44" fontId="15" fillId="8" borderId="1" xfId="2" applyFont="1" applyFill="1" applyBorder="1" applyAlignment="1">
      <alignment horizontal="center" vertical="center" wrapText="1"/>
    </xf>
    <xf numFmtId="1" fontId="2" fillId="3" borderId="1" xfId="2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4" fontId="4" fillId="4" borderId="0" xfId="0" applyNumberFormat="1" applyFont="1" applyFill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0" fillId="0" borderId="0" xfId="2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4" borderId="43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4" fillId="4" borderId="25" xfId="0" applyNumberFormat="1" applyFont="1" applyFill="1" applyBorder="1" applyAlignment="1">
      <alignment horizontal="center" vertical="center" wrapText="1"/>
    </xf>
    <xf numFmtId="4" fontId="4" fillId="4" borderId="26" xfId="0" applyNumberFormat="1" applyFont="1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0" fontId="24" fillId="4" borderId="34" xfId="0" applyFont="1" applyFill="1" applyBorder="1" applyAlignment="1">
      <alignment horizontal="center" vertical="center" wrapText="1"/>
    </xf>
    <xf numFmtId="0" fontId="24" fillId="4" borderId="35" xfId="0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4" fillId="4" borderId="27" xfId="0" applyNumberFormat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10" borderId="42" xfId="0" applyFont="1" applyFill="1" applyBorder="1" applyAlignment="1">
      <alignment horizontal="center" vertical="center" wrapText="1"/>
    </xf>
    <xf numFmtId="0" fontId="2" fillId="10" borderId="33" xfId="0" applyFont="1" applyFill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9" fillId="0" borderId="9" xfId="5" applyFont="1" applyBorder="1" applyAlignment="1">
      <alignment horizontal="center" vertical="center" wrapText="1"/>
    </xf>
    <xf numFmtId="0" fontId="9" fillId="0" borderId="5" xfId="5" applyFont="1" applyBorder="1" applyAlignment="1">
      <alignment horizontal="center" vertical="center" wrapText="1"/>
    </xf>
    <xf numFmtId="0" fontId="9" fillId="0" borderId="16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center" wrapText="1"/>
    </xf>
    <xf numFmtId="0" fontId="9" fillId="0" borderId="7" xfId="5" applyFont="1" applyBorder="1" applyAlignment="1">
      <alignment horizontal="center" wrapText="1"/>
    </xf>
    <xf numFmtId="0" fontId="9" fillId="0" borderId="15" xfId="5" applyFont="1" applyBorder="1" applyAlignment="1">
      <alignment horizontal="center" wrapText="1"/>
    </xf>
    <xf numFmtId="0" fontId="11" fillId="0" borderId="3" xfId="5" applyFont="1" applyBorder="1" applyAlignment="1">
      <alignment horizontal="center" wrapText="1"/>
    </xf>
    <xf numFmtId="0" fontId="11" fillId="0" borderId="10" xfId="5" applyFont="1" applyBorder="1" applyAlignment="1">
      <alignment horizontal="center" wrapText="1"/>
    </xf>
    <xf numFmtId="0" fontId="11" fillId="0" borderId="12" xfId="5" applyFont="1" applyBorder="1" applyAlignment="1">
      <alignment horizontal="center" wrapText="1"/>
    </xf>
    <xf numFmtId="0" fontId="9" fillId="0" borderId="14" xfId="5" applyFont="1" applyBorder="1" applyAlignment="1">
      <alignment horizontal="center"/>
    </xf>
    <xf numFmtId="0" fontId="9" fillId="0" borderId="7" xfId="5" applyFont="1" applyBorder="1" applyAlignment="1">
      <alignment horizontal="center"/>
    </xf>
    <xf numFmtId="0" fontId="9" fillId="0" borderId="15" xfId="5" applyFont="1" applyBorder="1" applyAlignment="1">
      <alignment horizontal="center"/>
    </xf>
    <xf numFmtId="0" fontId="11" fillId="0" borderId="3" xfId="5" applyFont="1" applyBorder="1" applyAlignment="1">
      <alignment horizontal="center"/>
    </xf>
    <xf numFmtId="0" fontId="11" fillId="0" borderId="10" xfId="5" applyFont="1" applyBorder="1" applyAlignment="1">
      <alignment horizontal="center"/>
    </xf>
    <xf numFmtId="0" fontId="11" fillId="0" borderId="12" xfId="5" applyFont="1" applyBorder="1" applyAlignment="1">
      <alignment horizontal="center"/>
    </xf>
    <xf numFmtId="0" fontId="9" fillId="0" borderId="13" xfId="5" applyFont="1" applyBorder="1" applyAlignment="1">
      <alignment horizontal="center"/>
    </xf>
    <xf numFmtId="0" fontId="9" fillId="0" borderId="0" xfId="5" applyFont="1" applyAlignment="1">
      <alignment horizontal="center"/>
    </xf>
    <xf numFmtId="0" fontId="9" fillId="0" borderId="11" xfId="5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5" fillId="8" borderId="17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44" fontId="15" fillId="8" borderId="17" xfId="2" applyFont="1" applyFill="1" applyBorder="1" applyAlignment="1">
      <alignment horizontal="center" vertical="center" wrapText="1"/>
    </xf>
    <xf numFmtId="44" fontId="15" fillId="8" borderId="18" xfId="2" applyFont="1" applyFill="1" applyBorder="1" applyAlignment="1">
      <alignment horizontal="center" vertical="center" wrapText="1"/>
    </xf>
    <xf numFmtId="44" fontId="15" fillId="8" borderId="19" xfId="2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</cellXfs>
  <cellStyles count="9">
    <cellStyle name="40% - Ênfase1" xfId="4" builtinId="31"/>
    <cellStyle name="Moeda" xfId="2" builtinId="4"/>
    <cellStyle name="Normal" xfId="0" builtinId="0"/>
    <cellStyle name="Normal 2" xfId="5" xr:uid="{00000000-0005-0000-0000-000003000000}"/>
    <cellStyle name="Normal 3" xfId="7" xr:uid="{00000000-0005-0000-0000-000004000000}"/>
    <cellStyle name="Porcentagem" xfId="3" builtinId="5"/>
    <cellStyle name="Porcentagem 2" xfId="6" xr:uid="{00000000-0005-0000-0000-000006000000}"/>
    <cellStyle name="Vírgula" xfId="1" builtinId="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99FF99"/>
      <color rgb="FFFFFF66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152400</xdr:rowOff>
    </xdr:from>
    <xdr:to>
      <xdr:col>2</xdr:col>
      <xdr:colOff>1515647</xdr:colOff>
      <xdr:row>8</xdr:row>
      <xdr:rowOff>60613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781050</xdr:colOff>
      <xdr:row>27</xdr:row>
      <xdr:rowOff>0</xdr:rowOff>
    </xdr:from>
    <xdr:to>
      <xdr:col>2</xdr:col>
      <xdr:colOff>485775</xdr:colOff>
      <xdr:row>27</xdr:row>
      <xdr:rowOff>9525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flipV="1">
          <a:off x="485775" y="54864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161925</xdr:rowOff>
        </xdr:from>
        <xdr:to>
          <xdr:col>5</xdr:col>
          <xdr:colOff>276225</xdr:colOff>
          <xdr:row>28</xdr:row>
          <xdr:rowOff>66675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200025</xdr:colOff>
      <xdr:row>0</xdr:row>
      <xdr:rowOff>152400</xdr:rowOff>
    </xdr:from>
    <xdr:to>
      <xdr:col>3</xdr:col>
      <xdr:colOff>1543050</xdr:colOff>
      <xdr:row>4</xdr:row>
      <xdr:rowOff>95250</xdr:rowOff>
    </xdr:to>
    <xdr:pic>
      <xdr:nvPicPr>
        <xdr:cNvPr id="7" name="Imagem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1</xdr:row>
      <xdr:rowOff>19050</xdr:rowOff>
    </xdr:from>
    <xdr:to>
      <xdr:col>3</xdr:col>
      <xdr:colOff>2105025</xdr:colOff>
      <xdr:row>4</xdr:row>
      <xdr:rowOff>152400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209550"/>
          <a:ext cx="26193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J453"/>
  <sheetViews>
    <sheetView showGridLines="0" tabSelected="1" topLeftCell="A7" zoomScaleNormal="100" workbookViewId="0">
      <selection activeCell="H8" sqref="H8"/>
    </sheetView>
  </sheetViews>
  <sheetFormatPr defaultColWidth="37.28515625" defaultRowHeight="15" zeroHeight="1" x14ac:dyDescent="0.25"/>
  <cols>
    <col min="1" max="1" width="19.7109375" style="62" customWidth="1"/>
    <col min="2" max="2" width="10.140625" style="62" hidden="1" customWidth="1"/>
    <col min="3" max="3" width="85.140625" style="62" customWidth="1"/>
    <col min="4" max="5" width="16.42578125" style="62" customWidth="1"/>
    <col min="6" max="6" width="20.85546875" style="62" customWidth="1"/>
    <col min="7" max="7" width="12.28515625" style="62" customWidth="1"/>
    <col min="8" max="8" width="14.85546875" style="62" customWidth="1"/>
    <col min="9" max="9" width="7.7109375" style="62" customWidth="1"/>
    <col min="10" max="16384" width="37.28515625" style="62"/>
  </cols>
  <sheetData>
    <row r="4" spans="1:9" ht="18" hidden="1" x14ac:dyDescent="0.25">
      <c r="C4" s="64"/>
    </row>
    <row r="7" spans="1:9" s="35" customFormat="1" ht="35.25" customHeight="1" x14ac:dyDescent="0.25">
      <c r="A7" s="35" t="s">
        <v>53</v>
      </c>
      <c r="B7" s="79"/>
      <c r="C7" s="79"/>
      <c r="D7" s="79"/>
      <c r="E7" s="79"/>
      <c r="F7" s="79"/>
      <c r="G7" s="79"/>
      <c r="H7" s="79"/>
    </row>
    <row r="8" spans="1:9" x14ac:dyDescent="0.25"/>
    <row r="9" spans="1:9" x14ac:dyDescent="0.25">
      <c r="A9" s="82" t="s">
        <v>0</v>
      </c>
      <c r="B9" s="83"/>
      <c r="C9" s="83"/>
      <c r="D9" s="83"/>
      <c r="E9" s="83"/>
      <c r="F9" s="83"/>
      <c r="G9" s="83"/>
      <c r="H9" s="83"/>
    </row>
    <row r="10" spans="1:9" x14ac:dyDescent="0.25">
      <c r="A10" s="82" t="s">
        <v>1</v>
      </c>
      <c r="B10" s="83"/>
      <c r="C10" s="83"/>
      <c r="D10" s="83"/>
      <c r="E10" s="83"/>
      <c r="F10" s="83"/>
      <c r="G10" s="83"/>
      <c r="H10" s="83"/>
    </row>
    <row r="11" spans="1:9" ht="15.75" thickBot="1" x14ac:dyDescent="0.3"/>
    <row r="12" spans="1:9" ht="19.5" customHeight="1" thickBot="1" x14ac:dyDescent="0.3">
      <c r="A12" s="72" t="s">
        <v>7</v>
      </c>
      <c r="B12" s="50"/>
      <c r="C12" s="85" t="s">
        <v>81</v>
      </c>
      <c r="D12" s="85"/>
      <c r="E12" s="85"/>
      <c r="F12" s="85"/>
      <c r="G12" s="85"/>
      <c r="H12" s="85"/>
      <c r="I12" s="66"/>
    </row>
    <row r="13" spans="1:9" s="35" customFormat="1" ht="39" customHeight="1" x14ac:dyDescent="0.25">
      <c r="A13" s="49" t="s">
        <v>10</v>
      </c>
      <c r="B13" s="41" t="s">
        <v>3</v>
      </c>
      <c r="C13" s="41" t="s">
        <v>4</v>
      </c>
      <c r="D13" s="41" t="s">
        <v>99</v>
      </c>
      <c r="E13" s="41" t="s">
        <v>101</v>
      </c>
      <c r="F13" s="41" t="s">
        <v>100</v>
      </c>
      <c r="G13" s="41" t="s">
        <v>5</v>
      </c>
      <c r="H13" s="41" t="s">
        <v>6</v>
      </c>
    </row>
    <row r="14" spans="1:9" s="35" customFormat="1" ht="30" customHeight="1" x14ac:dyDescent="0.25">
      <c r="A14" s="46" t="s">
        <v>57</v>
      </c>
      <c r="B14" s="1" t="s">
        <v>58</v>
      </c>
      <c r="C14" s="1" t="s">
        <v>64</v>
      </c>
      <c r="D14" s="1" t="s">
        <v>59</v>
      </c>
      <c r="E14" s="57">
        <v>26</v>
      </c>
      <c r="F14" s="57">
        <f>12*26</f>
        <v>312</v>
      </c>
      <c r="G14" s="45">
        <v>122.30760000000001</v>
      </c>
      <c r="H14" s="2">
        <f>F14*G14</f>
        <v>38159.9712</v>
      </c>
      <c r="I14" s="33"/>
    </row>
    <row r="15" spans="1:9" s="35" customFormat="1" ht="26.25" customHeight="1" x14ac:dyDescent="0.25">
      <c r="A15" s="46" t="s">
        <v>57</v>
      </c>
      <c r="B15" s="1" t="s">
        <v>58</v>
      </c>
      <c r="C15" s="1" t="s">
        <v>63</v>
      </c>
      <c r="D15" s="1" t="str">
        <f t="shared" ref="D15:D20" si="0">D14</f>
        <v>equipamento.mês</v>
      </c>
      <c r="E15" s="57">
        <v>68</v>
      </c>
      <c r="F15" s="57">
        <f>12*68</f>
        <v>816</v>
      </c>
      <c r="G15" s="45">
        <v>122.30760000000001</v>
      </c>
      <c r="H15" s="2">
        <f>F15*G15</f>
        <v>99803.001600000003</v>
      </c>
    </row>
    <row r="16" spans="1:9" s="35" customFormat="1" ht="26.25" customHeight="1" x14ac:dyDescent="0.25">
      <c r="A16" s="46" t="s">
        <v>57</v>
      </c>
      <c r="B16" s="1" t="s">
        <v>58</v>
      </c>
      <c r="C16" s="1" t="s">
        <v>60</v>
      </c>
      <c r="D16" s="1" t="str">
        <f t="shared" si="0"/>
        <v>equipamento.mês</v>
      </c>
      <c r="E16" s="57">
        <v>31</v>
      </c>
      <c r="F16" s="57">
        <f>12*31</f>
        <v>372</v>
      </c>
      <c r="G16" s="45">
        <v>122.30760000000001</v>
      </c>
      <c r="H16" s="2">
        <f t="shared" ref="H16:H22" si="1">F16*G16</f>
        <v>45498.427200000006</v>
      </c>
    </row>
    <row r="17" spans="1:10" s="35" customFormat="1" ht="26.25" customHeight="1" x14ac:dyDescent="0.25">
      <c r="A17" s="46" t="s">
        <v>57</v>
      </c>
      <c r="B17" s="1" t="s">
        <v>58</v>
      </c>
      <c r="C17" s="1" t="s">
        <v>61</v>
      </c>
      <c r="D17" s="1" t="str">
        <f t="shared" si="0"/>
        <v>equipamento.mês</v>
      </c>
      <c r="E17" s="57">
        <v>178</v>
      </c>
      <c r="F17" s="57">
        <f>12*178</f>
        <v>2136</v>
      </c>
      <c r="G17" s="45">
        <v>122.30760000000001</v>
      </c>
      <c r="H17" s="2">
        <f t="shared" si="1"/>
        <v>261249.03360000002</v>
      </c>
    </row>
    <row r="18" spans="1:10" s="35" customFormat="1" ht="26.25" customHeight="1" x14ac:dyDescent="0.25">
      <c r="A18" s="46" t="s">
        <v>57</v>
      </c>
      <c r="B18" s="1" t="s">
        <v>58</v>
      </c>
      <c r="C18" s="1" t="s">
        <v>62</v>
      </c>
      <c r="D18" s="1" t="str">
        <f t="shared" si="0"/>
        <v>equipamento.mês</v>
      </c>
      <c r="E18" s="57">
        <v>23</v>
      </c>
      <c r="F18" s="57">
        <f>12*23</f>
        <v>276</v>
      </c>
      <c r="G18" s="45">
        <v>122.30760000000001</v>
      </c>
      <c r="H18" s="2">
        <f t="shared" si="1"/>
        <v>33756.897600000004</v>
      </c>
    </row>
    <row r="19" spans="1:10" s="35" customFormat="1" ht="26.25" customHeight="1" x14ac:dyDescent="0.25">
      <c r="A19" s="46" t="s">
        <v>57</v>
      </c>
      <c r="B19" s="1" t="s">
        <v>58</v>
      </c>
      <c r="C19" s="1" t="s">
        <v>87</v>
      </c>
      <c r="D19" s="1" t="str">
        <f t="shared" si="0"/>
        <v>equipamento.mês</v>
      </c>
      <c r="E19" s="57">
        <v>24</v>
      </c>
      <c r="F19" s="57">
        <f>12*24</f>
        <v>288</v>
      </c>
      <c r="G19" s="45">
        <v>122.30760000000001</v>
      </c>
      <c r="H19" s="2">
        <f t="shared" si="1"/>
        <v>35224.588800000005</v>
      </c>
    </row>
    <row r="20" spans="1:10" s="35" customFormat="1" ht="26.25" customHeight="1" x14ac:dyDescent="0.25">
      <c r="A20" s="46" t="s">
        <v>57</v>
      </c>
      <c r="B20" s="1" t="s">
        <v>58</v>
      </c>
      <c r="C20" s="1" t="s">
        <v>86</v>
      </c>
      <c r="D20" s="1" t="str">
        <f t="shared" si="0"/>
        <v>equipamento.mês</v>
      </c>
      <c r="E20" s="57">
        <v>6</v>
      </c>
      <c r="F20" s="57">
        <f>12*6</f>
        <v>72</v>
      </c>
      <c r="G20" s="45">
        <v>122.30760000000001</v>
      </c>
      <c r="H20" s="2">
        <f t="shared" ref="H20" si="2">F20*G20</f>
        <v>8806.1472000000012</v>
      </c>
    </row>
    <row r="21" spans="1:10" s="35" customFormat="1" ht="26.25" customHeight="1" x14ac:dyDescent="0.25">
      <c r="A21" s="46" t="s">
        <v>57</v>
      </c>
      <c r="B21" s="1" t="s">
        <v>58</v>
      </c>
      <c r="C21" s="1" t="s">
        <v>65</v>
      </c>
      <c r="D21" s="1" t="str">
        <f>D19</f>
        <v>equipamento.mês</v>
      </c>
      <c r="E21" s="57">
        <v>2</v>
      </c>
      <c r="F21" s="57">
        <f>12*2</f>
        <v>24</v>
      </c>
      <c r="G21" s="45">
        <v>122.30760000000001</v>
      </c>
      <c r="H21" s="2">
        <f t="shared" si="1"/>
        <v>2935.3824000000004</v>
      </c>
    </row>
    <row r="22" spans="1:10" s="35" customFormat="1" ht="26.25" customHeight="1" thickBot="1" x14ac:dyDescent="0.3">
      <c r="A22" s="47" t="s">
        <v>57</v>
      </c>
      <c r="B22" s="48" t="s">
        <v>58</v>
      </c>
      <c r="C22" s="48" t="s">
        <v>88</v>
      </c>
      <c r="D22" s="48" t="str">
        <f>D21</f>
        <v>equipamento.mês</v>
      </c>
      <c r="E22" s="58">
        <v>1</v>
      </c>
      <c r="F22" s="58">
        <f>12*1</f>
        <v>12</v>
      </c>
      <c r="G22" s="45">
        <v>122.30760000000001</v>
      </c>
      <c r="H22" s="2">
        <f t="shared" si="1"/>
        <v>1467.6912000000002</v>
      </c>
    </row>
    <row r="23" spans="1:10" s="35" customFormat="1" x14ac:dyDescent="0.25">
      <c r="A23" s="73"/>
      <c r="B23" s="73"/>
      <c r="C23" s="73"/>
      <c r="D23" s="73"/>
      <c r="E23" s="73"/>
      <c r="F23" s="74" t="s">
        <v>8</v>
      </c>
      <c r="G23" s="80">
        <f>SUM(H14:H22)</f>
        <v>526901.14080000005</v>
      </c>
      <c r="H23" s="81"/>
    </row>
    <row r="24" spans="1:10" s="35" customFormat="1" ht="30" customHeight="1" thickBot="1" x14ac:dyDescent="0.3">
      <c r="A24" s="73"/>
      <c r="B24" s="73"/>
      <c r="C24" s="73"/>
      <c r="D24" s="73"/>
      <c r="E24" s="73"/>
      <c r="F24" s="75"/>
      <c r="G24" s="76"/>
      <c r="H24" s="77"/>
    </row>
    <row r="25" spans="1:10" s="35" customFormat="1" ht="26.25" customHeight="1" thickBot="1" x14ac:dyDescent="0.3">
      <c r="A25" s="72" t="s">
        <v>66</v>
      </c>
      <c r="B25" s="56" t="s">
        <v>82</v>
      </c>
      <c r="C25" s="84" t="s">
        <v>82</v>
      </c>
      <c r="D25" s="85"/>
      <c r="E25" s="85"/>
      <c r="F25" s="85"/>
      <c r="G25" s="85"/>
      <c r="H25" s="86"/>
    </row>
    <row r="26" spans="1:10" s="35" customFormat="1" ht="36" customHeight="1" x14ac:dyDescent="0.25">
      <c r="A26" s="49" t="s">
        <v>10</v>
      </c>
      <c r="B26" s="41" t="s">
        <v>3</v>
      </c>
      <c r="C26" s="41" t="s">
        <v>4</v>
      </c>
      <c r="D26" s="41" t="s">
        <v>99</v>
      </c>
      <c r="E26" s="97" t="s">
        <v>102</v>
      </c>
      <c r="F26" s="98"/>
      <c r="G26" s="41" t="s">
        <v>5</v>
      </c>
      <c r="H26" s="41" t="s">
        <v>6</v>
      </c>
    </row>
    <row r="27" spans="1:10" s="35" customFormat="1" ht="26.25" customHeight="1" x14ac:dyDescent="0.25">
      <c r="A27" s="52" t="s">
        <v>57</v>
      </c>
      <c r="B27" s="36" t="s">
        <v>58</v>
      </c>
      <c r="C27" s="36" t="s">
        <v>68</v>
      </c>
      <c r="D27" s="36" t="s">
        <v>67</v>
      </c>
      <c r="E27" s="99">
        <v>8</v>
      </c>
      <c r="F27" s="100"/>
      <c r="G27" s="51">
        <v>1541.7278100000003</v>
      </c>
      <c r="H27" s="38">
        <f t="shared" ref="H27:H45" si="3">E27*G27</f>
        <v>12333.822480000003</v>
      </c>
      <c r="J27" s="42"/>
    </row>
    <row r="28" spans="1:10" s="35" customFormat="1" ht="26.25" customHeight="1" x14ac:dyDescent="0.25">
      <c r="A28" s="52" t="s">
        <v>57</v>
      </c>
      <c r="B28" s="36" t="s">
        <v>58</v>
      </c>
      <c r="C28" s="36" t="s">
        <v>69</v>
      </c>
      <c r="D28" s="36" t="str">
        <f t="shared" ref="D28:D44" si="4">D27</f>
        <v>serviço</v>
      </c>
      <c r="E28" s="99">
        <v>18</v>
      </c>
      <c r="F28" s="100"/>
      <c r="G28" s="51">
        <v>2936.8942742916001</v>
      </c>
      <c r="H28" s="38">
        <f t="shared" si="3"/>
        <v>52864.096937248803</v>
      </c>
      <c r="J28" s="42"/>
    </row>
    <row r="29" spans="1:10" s="35" customFormat="1" ht="26.25" customHeight="1" x14ac:dyDescent="0.25">
      <c r="A29" s="52" t="s">
        <v>57</v>
      </c>
      <c r="B29" s="36" t="s">
        <v>58</v>
      </c>
      <c r="C29" s="36" t="s">
        <v>70</v>
      </c>
      <c r="D29" s="36" t="str">
        <f t="shared" si="4"/>
        <v>serviço</v>
      </c>
      <c r="E29" s="99">
        <v>5</v>
      </c>
      <c r="F29" s="100"/>
      <c r="G29" s="51">
        <v>743.36233424600005</v>
      </c>
      <c r="H29" s="38">
        <f t="shared" si="3"/>
        <v>3716.8116712300002</v>
      </c>
      <c r="J29" s="42"/>
    </row>
    <row r="30" spans="1:10" s="35" customFormat="1" ht="26.25" customHeight="1" x14ac:dyDescent="0.25">
      <c r="A30" s="52" t="s">
        <v>57</v>
      </c>
      <c r="B30" s="36" t="s">
        <v>58</v>
      </c>
      <c r="C30" s="36" t="s">
        <v>71</v>
      </c>
      <c r="D30" s="36" t="str">
        <f t="shared" si="4"/>
        <v>serviço</v>
      </c>
      <c r="E30" s="99">
        <v>30</v>
      </c>
      <c r="F30" s="100"/>
      <c r="G30" s="51">
        <v>1084.98219231808</v>
      </c>
      <c r="H30" s="38">
        <f t="shared" si="3"/>
        <v>32549.465769542399</v>
      </c>
      <c r="J30" s="42"/>
    </row>
    <row r="31" spans="1:10" s="35" customFormat="1" ht="26.25" customHeight="1" x14ac:dyDescent="0.25">
      <c r="A31" s="52" t="s">
        <v>57</v>
      </c>
      <c r="B31" s="36" t="s">
        <v>58</v>
      </c>
      <c r="C31" s="36" t="s">
        <v>72</v>
      </c>
      <c r="D31" s="36" t="str">
        <f t="shared" si="4"/>
        <v>serviço</v>
      </c>
      <c r="E31" s="99">
        <v>8</v>
      </c>
      <c r="F31" s="100"/>
      <c r="G31" s="51">
        <v>1124.8422381929599</v>
      </c>
      <c r="H31" s="38">
        <f t="shared" si="3"/>
        <v>8998.7379055436795</v>
      </c>
      <c r="J31" s="42"/>
    </row>
    <row r="32" spans="1:10" s="35" customFormat="1" ht="26.25" customHeight="1" x14ac:dyDescent="0.25">
      <c r="A32" s="52" t="s">
        <v>57</v>
      </c>
      <c r="B32" s="36"/>
      <c r="C32" s="36" t="s">
        <v>89</v>
      </c>
      <c r="D32" s="36" t="str">
        <f t="shared" si="4"/>
        <v>serviço</v>
      </c>
      <c r="E32" s="99">
        <v>8</v>
      </c>
      <c r="F32" s="100"/>
      <c r="G32" s="51">
        <v>723.07682758528006</v>
      </c>
      <c r="H32" s="38">
        <f t="shared" si="3"/>
        <v>5784.6146206822405</v>
      </c>
      <c r="J32" s="42"/>
    </row>
    <row r="33" spans="1:10" s="35" customFormat="1" ht="26.25" customHeight="1" x14ac:dyDescent="0.25">
      <c r="A33" s="52" t="s">
        <v>57</v>
      </c>
      <c r="B33" s="36"/>
      <c r="C33" s="36" t="s">
        <v>90</v>
      </c>
      <c r="D33" s="36" t="str">
        <f t="shared" si="4"/>
        <v>serviço</v>
      </c>
      <c r="E33" s="99">
        <v>2</v>
      </c>
      <c r="F33" s="100"/>
      <c r="G33" s="51">
        <v>739.70429206128006</v>
      </c>
      <c r="H33" s="38">
        <f t="shared" si="3"/>
        <v>1479.4085841225601</v>
      </c>
      <c r="J33" s="42"/>
    </row>
    <row r="34" spans="1:10" s="35" customFormat="1" ht="26.25" customHeight="1" x14ac:dyDescent="0.25">
      <c r="A34" s="52" t="s">
        <v>57</v>
      </c>
      <c r="B34" s="36"/>
      <c r="C34" s="36" t="s">
        <v>73</v>
      </c>
      <c r="D34" s="36" t="str">
        <f t="shared" si="4"/>
        <v>serviço</v>
      </c>
      <c r="E34" s="99">
        <v>1</v>
      </c>
      <c r="F34" s="100"/>
      <c r="G34" s="51">
        <v>1318.7299412000002</v>
      </c>
      <c r="H34" s="38">
        <f t="shared" si="3"/>
        <v>1318.7299412000002</v>
      </c>
      <c r="J34" s="42"/>
    </row>
    <row r="35" spans="1:10" s="35" customFormat="1" ht="30" customHeight="1" x14ac:dyDescent="0.25">
      <c r="A35" s="52" t="s">
        <v>57</v>
      </c>
      <c r="B35" s="36" t="s">
        <v>58</v>
      </c>
      <c r="C35" s="36" t="s">
        <v>91</v>
      </c>
      <c r="D35" s="36" t="str">
        <f t="shared" si="4"/>
        <v>serviço</v>
      </c>
      <c r="E35" s="99">
        <v>1</v>
      </c>
      <c r="F35" s="100"/>
      <c r="G35" s="51">
        <v>550.42641024</v>
      </c>
      <c r="H35" s="38">
        <f t="shared" si="3"/>
        <v>550.42641024</v>
      </c>
      <c r="I35" s="33"/>
      <c r="J35" s="42"/>
    </row>
    <row r="36" spans="1:10" s="35" customFormat="1" ht="33" customHeight="1" x14ac:dyDescent="0.25">
      <c r="A36" s="53" t="s">
        <v>79</v>
      </c>
      <c r="B36" s="37" t="s">
        <v>58</v>
      </c>
      <c r="C36" s="37" t="s">
        <v>78</v>
      </c>
      <c r="D36" s="37" t="str">
        <f>D35</f>
        <v>serviço</v>
      </c>
      <c r="E36" s="101">
        <v>2</v>
      </c>
      <c r="F36" s="102"/>
      <c r="G36" s="51">
        <v>4260.1855110220004</v>
      </c>
      <c r="H36" s="39">
        <f t="shared" si="3"/>
        <v>8520.3710220440007</v>
      </c>
      <c r="J36" s="42"/>
    </row>
    <row r="37" spans="1:10" s="35" customFormat="1" ht="33" customHeight="1" x14ac:dyDescent="0.25">
      <c r="A37" s="53" t="s">
        <v>79</v>
      </c>
      <c r="B37" s="37" t="s">
        <v>58</v>
      </c>
      <c r="C37" s="37" t="s">
        <v>92</v>
      </c>
      <c r="D37" s="37" t="str">
        <f t="shared" si="4"/>
        <v>serviço</v>
      </c>
      <c r="E37" s="101">
        <v>2</v>
      </c>
      <c r="F37" s="102"/>
      <c r="G37" s="51">
        <v>5297.7735404650002</v>
      </c>
      <c r="H37" s="39">
        <f t="shared" si="3"/>
        <v>10595.54708093</v>
      </c>
      <c r="J37" s="42"/>
    </row>
    <row r="38" spans="1:10" s="35" customFormat="1" ht="33" customHeight="1" x14ac:dyDescent="0.25">
      <c r="A38" s="53" t="s">
        <v>79</v>
      </c>
      <c r="B38" s="37"/>
      <c r="C38" s="37" t="s">
        <v>77</v>
      </c>
      <c r="D38" s="37" t="str">
        <f t="shared" si="4"/>
        <v>serviço</v>
      </c>
      <c r="E38" s="101">
        <v>2</v>
      </c>
      <c r="F38" s="102"/>
      <c r="G38" s="51">
        <v>2447.280879764</v>
      </c>
      <c r="H38" s="39">
        <f t="shared" si="3"/>
        <v>4894.561759528</v>
      </c>
      <c r="J38" s="42"/>
    </row>
    <row r="39" spans="1:10" s="35" customFormat="1" ht="33" customHeight="1" x14ac:dyDescent="0.25">
      <c r="A39" s="53" t="s">
        <v>79</v>
      </c>
      <c r="B39" s="37"/>
      <c r="C39" s="37" t="s">
        <v>76</v>
      </c>
      <c r="D39" s="37" t="str">
        <f t="shared" si="4"/>
        <v>serviço</v>
      </c>
      <c r="E39" s="101">
        <v>10</v>
      </c>
      <c r="F39" s="102"/>
      <c r="G39" s="51">
        <v>1448.1661517330001</v>
      </c>
      <c r="H39" s="39">
        <f t="shared" si="3"/>
        <v>14481.661517330002</v>
      </c>
      <c r="J39" s="42"/>
    </row>
    <row r="40" spans="1:10" s="35" customFormat="1" ht="33" customHeight="1" x14ac:dyDescent="0.25">
      <c r="A40" s="53" t="s">
        <v>79</v>
      </c>
      <c r="B40" s="37"/>
      <c r="C40" s="37" t="s">
        <v>75</v>
      </c>
      <c r="D40" s="37" t="str">
        <f t="shared" si="4"/>
        <v>serviço</v>
      </c>
      <c r="E40" s="101">
        <v>2</v>
      </c>
      <c r="F40" s="102"/>
      <c r="G40" s="51">
        <v>2030.9962461670002</v>
      </c>
      <c r="H40" s="39">
        <f t="shared" si="3"/>
        <v>4061.9924923340004</v>
      </c>
      <c r="J40" s="42"/>
    </row>
    <row r="41" spans="1:10" s="35" customFormat="1" ht="33" customHeight="1" x14ac:dyDescent="0.25">
      <c r="A41" s="53" t="s">
        <v>79</v>
      </c>
      <c r="B41" s="37"/>
      <c r="C41" s="37" t="s">
        <v>93</v>
      </c>
      <c r="D41" s="37" t="str">
        <f t="shared" si="4"/>
        <v>serviço</v>
      </c>
      <c r="E41" s="101">
        <v>2</v>
      </c>
      <c r="F41" s="102"/>
      <c r="G41" s="51">
        <v>3412.1645606020002</v>
      </c>
      <c r="H41" s="39">
        <f t="shared" si="3"/>
        <v>6824.3291212040003</v>
      </c>
      <c r="J41" s="42"/>
    </row>
    <row r="42" spans="1:10" s="35" customFormat="1" ht="33" customHeight="1" x14ac:dyDescent="0.25">
      <c r="A42" s="53" t="s">
        <v>79</v>
      </c>
      <c r="B42" s="37" t="s">
        <v>58</v>
      </c>
      <c r="C42" s="37" t="s">
        <v>94</v>
      </c>
      <c r="D42" s="37" t="str">
        <f t="shared" si="4"/>
        <v>serviço</v>
      </c>
      <c r="E42" s="101">
        <v>2</v>
      </c>
      <c r="F42" s="102"/>
      <c r="G42" s="51">
        <v>3720.1052489159997</v>
      </c>
      <c r="H42" s="39">
        <f t="shared" si="3"/>
        <v>7440.2104978319994</v>
      </c>
      <c r="J42" s="42"/>
    </row>
    <row r="43" spans="1:10" s="35" customFormat="1" ht="33" customHeight="1" x14ac:dyDescent="0.25">
      <c r="A43" s="53" t="s">
        <v>79</v>
      </c>
      <c r="B43" s="37" t="s">
        <v>58</v>
      </c>
      <c r="C43" s="37" t="s">
        <v>74</v>
      </c>
      <c r="D43" s="37" t="str">
        <f t="shared" si="4"/>
        <v>serviço</v>
      </c>
      <c r="E43" s="101">
        <v>1</v>
      </c>
      <c r="F43" s="102"/>
      <c r="G43" s="51">
        <v>5132.9913042310009</v>
      </c>
      <c r="H43" s="39">
        <f t="shared" si="3"/>
        <v>5132.9913042310009</v>
      </c>
      <c r="J43" s="42"/>
    </row>
    <row r="44" spans="1:10" s="35" customFormat="1" ht="33" customHeight="1" x14ac:dyDescent="0.25">
      <c r="A44" s="53" t="s">
        <v>79</v>
      </c>
      <c r="B44" s="37" t="s">
        <v>58</v>
      </c>
      <c r="C44" s="37" t="s">
        <v>95</v>
      </c>
      <c r="D44" s="37" t="str">
        <f t="shared" si="4"/>
        <v>serviço</v>
      </c>
      <c r="E44" s="101">
        <v>1</v>
      </c>
      <c r="F44" s="102"/>
      <c r="G44" s="51">
        <v>1586.883581129</v>
      </c>
      <c r="H44" s="39">
        <f t="shared" si="3"/>
        <v>1586.883581129</v>
      </c>
      <c r="J44" s="42"/>
    </row>
    <row r="45" spans="1:10" s="35" customFormat="1" ht="33" customHeight="1" thickBot="1" x14ac:dyDescent="0.3">
      <c r="A45" s="54" t="s">
        <v>79</v>
      </c>
      <c r="B45" s="55" t="s">
        <v>58</v>
      </c>
      <c r="C45" s="55" t="s">
        <v>80</v>
      </c>
      <c r="D45" s="55" t="s">
        <v>103</v>
      </c>
      <c r="E45" s="101">
        <v>1000</v>
      </c>
      <c r="F45" s="102"/>
      <c r="G45" s="51">
        <v>122.479471968</v>
      </c>
      <c r="H45" s="39">
        <f t="shared" si="3"/>
        <v>122479.471968</v>
      </c>
      <c r="J45" s="42"/>
    </row>
    <row r="46" spans="1:10" s="35" customFormat="1" ht="15" customHeight="1" x14ac:dyDescent="0.25">
      <c r="A46" s="92" t="s">
        <v>96</v>
      </c>
      <c r="B46" s="93"/>
      <c r="C46" s="93"/>
      <c r="D46" s="93"/>
      <c r="E46" s="93"/>
      <c r="F46" s="93"/>
      <c r="G46" s="94">
        <f>SUM(H27:H45)</f>
        <v>305614.13466437173</v>
      </c>
      <c r="H46" s="95"/>
    </row>
    <row r="47" spans="1:10" s="35" customFormat="1" ht="16.5" customHeight="1" x14ac:dyDescent="0.25">
      <c r="A47" s="90" t="s">
        <v>97</v>
      </c>
      <c r="B47" s="91"/>
      <c r="C47" s="91"/>
      <c r="D47" s="91"/>
      <c r="E47" s="91"/>
      <c r="F47" s="91"/>
      <c r="G47" s="94">
        <f>G46*0.2</f>
        <v>61122.826932874348</v>
      </c>
      <c r="H47" s="95"/>
    </row>
    <row r="48" spans="1:10" s="35" customFormat="1" ht="19.5" customHeight="1" x14ac:dyDescent="0.25">
      <c r="A48" s="88" t="s">
        <v>98</v>
      </c>
      <c r="B48" s="89"/>
      <c r="C48" s="89"/>
      <c r="D48" s="89"/>
      <c r="E48" s="89"/>
      <c r="F48" s="89"/>
      <c r="G48" s="89">
        <f>G46+G47</f>
        <v>366736.96159724606</v>
      </c>
      <c r="H48" s="96"/>
    </row>
    <row r="49" spans="1:10" ht="210.75" customHeight="1" x14ac:dyDescent="0.25">
      <c r="A49" s="87" t="s">
        <v>55</v>
      </c>
      <c r="B49" s="87"/>
      <c r="C49" s="87"/>
      <c r="D49" s="87"/>
      <c r="E49" s="87"/>
      <c r="F49" s="87"/>
      <c r="G49" s="87"/>
      <c r="H49" s="87"/>
      <c r="I49" s="34"/>
      <c r="J49" s="34"/>
    </row>
    <row r="50" spans="1:10" hidden="1" x14ac:dyDescent="0.25">
      <c r="B50" s="34"/>
      <c r="C50" s="34"/>
      <c r="D50" s="34"/>
      <c r="E50" s="34"/>
      <c r="F50" s="34"/>
      <c r="G50" s="34"/>
      <c r="H50" s="34"/>
    </row>
    <row r="52" spans="1:10" x14ac:dyDescent="0.25"/>
    <row r="53" spans="1:10" x14ac:dyDescent="0.25"/>
    <row r="54" spans="1:10" x14ac:dyDescent="0.25"/>
    <row r="55" spans="1:10" x14ac:dyDescent="0.25"/>
    <row r="56" spans="1:10" x14ac:dyDescent="0.25"/>
    <row r="57" spans="1:10" x14ac:dyDescent="0.25"/>
    <row r="58" spans="1:10" x14ac:dyDescent="0.25"/>
    <row r="59" spans="1:10" x14ac:dyDescent="0.25"/>
    <row r="60" spans="1:10" x14ac:dyDescent="0.25"/>
    <row r="61" spans="1:10" x14ac:dyDescent="0.25"/>
    <row r="62" spans="1:10" x14ac:dyDescent="0.25"/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</sheetData>
  <mergeCells count="33">
    <mergeCell ref="E41:F41"/>
    <mergeCell ref="E42:F42"/>
    <mergeCell ref="E43:F43"/>
    <mergeCell ref="E44:F44"/>
    <mergeCell ref="E45:F45"/>
    <mergeCell ref="E36:F36"/>
    <mergeCell ref="E37:F37"/>
    <mergeCell ref="E38:F38"/>
    <mergeCell ref="E39:F39"/>
    <mergeCell ref="E40:F40"/>
    <mergeCell ref="E31:F31"/>
    <mergeCell ref="E32:F32"/>
    <mergeCell ref="E33:F33"/>
    <mergeCell ref="E34:F34"/>
    <mergeCell ref="E35:F35"/>
    <mergeCell ref="E26:F26"/>
    <mergeCell ref="E27:F27"/>
    <mergeCell ref="E28:F28"/>
    <mergeCell ref="E29:F29"/>
    <mergeCell ref="E30:F30"/>
    <mergeCell ref="A49:H49"/>
    <mergeCell ref="A48:F48"/>
    <mergeCell ref="A47:F47"/>
    <mergeCell ref="A46:F46"/>
    <mergeCell ref="G46:H46"/>
    <mergeCell ref="G47:H47"/>
    <mergeCell ref="G48:H48"/>
    <mergeCell ref="B7:H7"/>
    <mergeCell ref="G23:H23"/>
    <mergeCell ref="A9:H9"/>
    <mergeCell ref="A10:H10"/>
    <mergeCell ref="C25:H25"/>
    <mergeCell ref="C12:H12"/>
  </mergeCells>
  <pageMargins left="0.25" right="0.25" top="0.75" bottom="0.75" header="0.3" footer="0.3"/>
  <pageSetup paperSize="9" scale="53" fitToHeight="0" orientation="portrait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2"/>
  <sheetViews>
    <sheetView showGridLines="0" topLeftCell="A10" workbookViewId="0">
      <selection activeCell="E12" sqref="E12"/>
    </sheetView>
  </sheetViews>
  <sheetFormatPr defaultColWidth="0" defaultRowHeight="15" zeroHeight="1" x14ac:dyDescent="0.25"/>
  <cols>
    <col min="1" max="1" width="4.7109375" customWidth="1"/>
    <col min="2" max="2" width="11.140625" bestFit="1" customWidth="1"/>
    <col min="3" max="3" width="8" customWidth="1"/>
    <col min="4" max="4" width="35.7109375" bestFit="1" customWidth="1"/>
    <col min="5" max="5" width="11.28515625" bestFit="1" customWidth="1"/>
    <col min="6" max="9" width="9.140625" customWidth="1"/>
    <col min="10" max="16384" width="9.140625" hidden="1"/>
  </cols>
  <sheetData>
    <row r="1" spans="2:8" x14ac:dyDescent="0.25"/>
    <row r="2" spans="2:8" x14ac:dyDescent="0.25"/>
    <row r="3" spans="2:8" x14ac:dyDescent="0.25"/>
    <row r="4" spans="2:8" ht="18" x14ac:dyDescent="0.25">
      <c r="E4" s="28" t="s">
        <v>56</v>
      </c>
    </row>
    <row r="5" spans="2:8" x14ac:dyDescent="0.25"/>
    <row r="6" spans="2:8" x14ac:dyDescent="0.25"/>
    <row r="7" spans="2:8" x14ac:dyDescent="0.25"/>
    <row r="8" spans="2:8" ht="22.5" x14ac:dyDescent="0.3">
      <c r="C8" s="103" t="s">
        <v>42</v>
      </c>
      <c r="D8" s="103"/>
      <c r="E8" s="103"/>
    </row>
    <row r="9" spans="2:8" x14ac:dyDescent="0.25">
      <c r="C9" s="3"/>
      <c r="D9" s="3"/>
      <c r="E9" s="3"/>
    </row>
    <row r="10" spans="2:8" ht="15.75" x14ac:dyDescent="0.25">
      <c r="C10" s="4" t="s">
        <v>11</v>
      </c>
      <c r="D10" s="5" t="s">
        <v>12</v>
      </c>
      <c r="E10" s="5" t="s">
        <v>13</v>
      </c>
    </row>
    <row r="11" spans="2:8" x14ac:dyDescent="0.25">
      <c r="B11" s="30"/>
      <c r="C11" s="6" t="s">
        <v>14</v>
      </c>
      <c r="D11" s="7" t="s">
        <v>15</v>
      </c>
      <c r="E11" s="8">
        <v>4.1001185000000002E-2</v>
      </c>
      <c r="G11" s="43"/>
      <c r="H11" s="44"/>
    </row>
    <row r="12" spans="2:8" x14ac:dyDescent="0.25">
      <c r="B12" s="30"/>
      <c r="C12" s="9" t="s">
        <v>16</v>
      </c>
      <c r="D12" s="7" t="s">
        <v>17</v>
      </c>
      <c r="E12" s="8">
        <v>0.08</v>
      </c>
      <c r="G12" s="43"/>
      <c r="H12" s="44"/>
    </row>
    <row r="13" spans="2:8" x14ac:dyDescent="0.25">
      <c r="B13" s="30"/>
      <c r="C13" s="10" t="s">
        <v>18</v>
      </c>
      <c r="D13" s="7" t="s">
        <v>19</v>
      </c>
      <c r="E13" s="8">
        <v>1.01E-2</v>
      </c>
      <c r="G13" s="43"/>
      <c r="H13" s="44"/>
    </row>
    <row r="14" spans="2:8" x14ac:dyDescent="0.25">
      <c r="B14" s="30"/>
      <c r="C14" s="11" t="s">
        <v>20</v>
      </c>
      <c r="D14" s="12" t="s">
        <v>21</v>
      </c>
      <c r="E14" s="8">
        <f>SUM(E15:E17)</f>
        <v>1.1727E-2</v>
      </c>
      <c r="G14" s="43"/>
      <c r="H14" s="44"/>
    </row>
    <row r="15" spans="2:8" x14ac:dyDescent="0.25">
      <c r="B15" s="30"/>
      <c r="C15" s="13" t="s">
        <v>22</v>
      </c>
      <c r="D15" s="14" t="s">
        <v>23</v>
      </c>
      <c r="E15" s="29">
        <v>1.8999999999999998E-3</v>
      </c>
      <c r="G15" s="43"/>
      <c r="H15" s="44"/>
    </row>
    <row r="16" spans="2:8" x14ac:dyDescent="0.25">
      <c r="B16" s="30"/>
      <c r="C16" s="15" t="s">
        <v>24</v>
      </c>
      <c r="D16" s="14" t="s">
        <v>25</v>
      </c>
      <c r="E16" s="29">
        <v>2.2569999999999999E-3</v>
      </c>
      <c r="G16" s="43"/>
      <c r="H16" s="44"/>
    </row>
    <row r="17" spans="2:8" x14ac:dyDescent="0.25">
      <c r="B17" s="30"/>
      <c r="C17" s="13" t="s">
        <v>26</v>
      </c>
      <c r="D17" s="14" t="s">
        <v>27</v>
      </c>
      <c r="E17" s="29">
        <v>7.5700000000000003E-3</v>
      </c>
      <c r="G17" s="43"/>
      <c r="H17" s="44"/>
    </row>
    <row r="18" spans="2:8" x14ac:dyDescent="0.25">
      <c r="B18" s="30"/>
      <c r="C18" s="16" t="s">
        <v>28</v>
      </c>
      <c r="D18" s="17" t="s">
        <v>29</v>
      </c>
      <c r="E18" s="8">
        <f>SUM(E19:E22)</f>
        <v>0.1265</v>
      </c>
      <c r="G18" s="43"/>
    </row>
    <row r="19" spans="2:8" x14ac:dyDescent="0.25">
      <c r="B19" s="30"/>
      <c r="C19" s="13" t="s">
        <v>30</v>
      </c>
      <c r="D19" s="14" t="s">
        <v>31</v>
      </c>
      <c r="E19" s="29">
        <v>0.03</v>
      </c>
    </row>
    <row r="20" spans="2:8" x14ac:dyDescent="0.25">
      <c r="C20" s="13" t="s">
        <v>32</v>
      </c>
      <c r="D20" s="18" t="s">
        <v>33</v>
      </c>
      <c r="E20" s="29">
        <v>6.4999999999999997E-3</v>
      </c>
    </row>
    <row r="21" spans="2:8" x14ac:dyDescent="0.25">
      <c r="C21" s="13" t="s">
        <v>34</v>
      </c>
      <c r="D21" s="14" t="s">
        <v>35</v>
      </c>
      <c r="E21" s="29">
        <v>0.05</v>
      </c>
    </row>
    <row r="22" spans="2:8" x14ac:dyDescent="0.25">
      <c r="C22" s="13" t="s">
        <v>36</v>
      </c>
      <c r="D22" s="14" t="s">
        <v>54</v>
      </c>
      <c r="E22" s="29">
        <v>0.04</v>
      </c>
    </row>
    <row r="23" spans="2:8" ht="18.75" x14ac:dyDescent="0.3">
      <c r="C23" s="19"/>
      <c r="D23" s="20" t="s">
        <v>37</v>
      </c>
      <c r="E23" s="21">
        <f>(1+E11+E14)*(1+E13)*(1+E12)/(1-E18)-1</f>
        <v>0.31474481836517487</v>
      </c>
    </row>
    <row r="24" spans="2:8" ht="18.75" x14ac:dyDescent="0.3">
      <c r="C24" s="22"/>
      <c r="D24" s="23"/>
      <c r="E24" s="24"/>
    </row>
    <row r="25" spans="2:8" x14ac:dyDescent="0.25">
      <c r="C25" s="116" t="s">
        <v>38</v>
      </c>
      <c r="D25" s="117"/>
      <c r="E25" s="117"/>
      <c r="F25" s="118"/>
    </row>
    <row r="26" spans="2:8" x14ac:dyDescent="0.25">
      <c r="C26" s="119"/>
      <c r="D26" s="120"/>
      <c r="E26" s="120"/>
      <c r="F26" s="121"/>
    </row>
    <row r="27" spans="2:8" x14ac:dyDescent="0.25">
      <c r="C27" s="119"/>
      <c r="D27" s="120"/>
      <c r="E27" s="120"/>
      <c r="F27" s="121"/>
    </row>
    <row r="28" spans="2:8" x14ac:dyDescent="0.25">
      <c r="C28" s="119"/>
      <c r="D28" s="120"/>
      <c r="E28" s="120"/>
      <c r="F28" s="121"/>
    </row>
    <row r="29" spans="2:8" x14ac:dyDescent="0.25">
      <c r="C29" s="119"/>
      <c r="D29" s="120"/>
      <c r="E29" s="120"/>
      <c r="F29" s="121"/>
    </row>
    <row r="30" spans="2:8" x14ac:dyDescent="0.25">
      <c r="C30" s="113"/>
      <c r="D30" s="114"/>
      <c r="E30" s="114"/>
      <c r="F30" s="115"/>
    </row>
    <row r="31" spans="2:8" x14ac:dyDescent="0.25">
      <c r="C31" s="110" t="s">
        <v>39</v>
      </c>
      <c r="D31" s="111"/>
      <c r="E31" s="111"/>
      <c r="F31" s="112"/>
    </row>
    <row r="32" spans="2:8" ht="15" customHeight="1" x14ac:dyDescent="0.25">
      <c r="C32" s="107" t="s">
        <v>40</v>
      </c>
      <c r="D32" s="108"/>
      <c r="E32" s="108"/>
      <c r="F32" s="109"/>
    </row>
    <row r="33" spans="3:6" ht="78.75" customHeight="1" x14ac:dyDescent="0.25">
      <c r="C33" s="104" t="s">
        <v>41</v>
      </c>
      <c r="D33" s="105"/>
      <c r="E33" s="105"/>
      <c r="F33" s="106"/>
    </row>
    <row r="34" spans="3:6" x14ac:dyDescent="0.25"/>
    <row r="35" spans="3:6" x14ac:dyDescent="0.25"/>
    <row r="62" x14ac:dyDescent="0.25"/>
  </sheetData>
  <mergeCells count="10">
    <mergeCell ref="C8:E8"/>
    <mergeCell ref="C33:F33"/>
    <mergeCell ref="C32:F32"/>
    <mergeCell ref="C31:F31"/>
    <mergeCell ref="C30:F30"/>
    <mergeCell ref="C25:F25"/>
    <mergeCell ref="C26:F26"/>
    <mergeCell ref="C27:F27"/>
    <mergeCell ref="C28:F28"/>
    <mergeCell ref="C29:F29"/>
  </mergeCells>
  <pageMargins left="0.25" right="0.25" top="0.75" bottom="0.75" header="0.3" footer="0.3"/>
  <pageSetup paperSize="9" scale="92" fitToHeight="0" orientation="portrait" r:id="rId1"/>
  <ignoredErrors>
    <ignoredError sqref="C11:C15 C18" numberStoredAsText="1"/>
  </ignoredErrors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3</xdr:col>
                <xdr:colOff>0</xdr:colOff>
                <xdr:row>25</xdr:row>
                <xdr:rowOff>161925</xdr:rowOff>
              </from>
              <to>
                <xdr:col>5</xdr:col>
                <xdr:colOff>276225</xdr:colOff>
                <xdr:row>28</xdr:row>
                <xdr:rowOff>66675</xdr:rowOff>
              </to>
            </anchor>
          </objectPr>
        </oleObject>
      </mc:Choice>
      <mc:Fallback>
        <oleObject progId="Equation.3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3"/>
  <sheetViews>
    <sheetView showGridLines="0" topLeftCell="B7" workbookViewId="0">
      <selection activeCell="I28" sqref="I28:I29"/>
    </sheetView>
  </sheetViews>
  <sheetFormatPr defaultColWidth="0" defaultRowHeight="15" zeroHeight="1" x14ac:dyDescent="0.25"/>
  <cols>
    <col min="1" max="1" width="15.85546875" style="62" bestFit="1" customWidth="1"/>
    <col min="2" max="2" width="13.28515625" style="35" bestFit="1" customWidth="1"/>
    <col min="3" max="3" width="9.140625" style="62" hidden="1" customWidth="1"/>
    <col min="4" max="4" width="79.7109375" style="62" customWidth="1"/>
    <col min="5" max="5" width="9.140625" style="62" customWidth="1"/>
    <col min="6" max="6" width="13" style="35" customWidth="1"/>
    <col min="7" max="7" width="14.28515625" style="62" customWidth="1"/>
    <col min="8" max="8" width="14.7109375" style="62" customWidth="1"/>
    <col min="9" max="9" width="18" style="35" bestFit="1" customWidth="1"/>
    <col min="10" max="10" width="10.42578125" style="35" customWidth="1"/>
    <col min="11" max="11" width="10.5703125" style="62" customWidth="1"/>
    <col min="12" max="16384" width="9.140625" style="62" hidden="1"/>
  </cols>
  <sheetData>
    <row r="1" spans="1:10" x14ac:dyDescent="0.25">
      <c r="B1" s="62"/>
      <c r="I1" s="62"/>
    </row>
    <row r="2" spans="1:10" x14ac:dyDescent="0.25">
      <c r="B2" s="62"/>
      <c r="I2" s="62"/>
    </row>
    <row r="3" spans="1:10" x14ac:dyDescent="0.25">
      <c r="B3" s="62"/>
      <c r="I3" s="62"/>
    </row>
    <row r="4" spans="1:10" ht="18" x14ac:dyDescent="0.25">
      <c r="B4" s="62"/>
      <c r="D4" s="64"/>
      <c r="I4" s="62"/>
    </row>
    <row r="5" spans="1:10" x14ac:dyDescent="0.25">
      <c r="B5" s="62"/>
      <c r="I5" s="62"/>
    </row>
    <row r="6" spans="1:10" x14ac:dyDescent="0.25">
      <c r="B6" s="62"/>
      <c r="I6" s="62"/>
    </row>
    <row r="7" spans="1:10" ht="14.25" customHeight="1" x14ac:dyDescent="0.25">
      <c r="A7" s="65"/>
      <c r="B7" s="40"/>
      <c r="C7" s="40"/>
      <c r="D7" s="40"/>
      <c r="E7" s="40"/>
      <c r="F7" s="40"/>
      <c r="G7" s="40"/>
      <c r="H7" s="40"/>
      <c r="I7" s="62"/>
    </row>
    <row r="8" spans="1:10" ht="17.25" x14ac:dyDescent="0.25">
      <c r="A8" s="124" t="s">
        <v>52</v>
      </c>
      <c r="B8" s="125"/>
      <c r="C8" s="125"/>
      <c r="D8" s="125"/>
      <c r="E8" s="125"/>
      <c r="F8" s="125"/>
      <c r="G8" s="125"/>
      <c r="H8" s="125"/>
      <c r="I8" s="125"/>
      <c r="J8" s="125"/>
    </row>
    <row r="9" spans="1:10" ht="9.75" customHeight="1" x14ac:dyDescent="0.25">
      <c r="B9" s="62"/>
      <c r="I9" s="62"/>
    </row>
    <row r="10" spans="1:10" s="35" customFormat="1" ht="17.25" customHeight="1" x14ac:dyDescent="0.25">
      <c r="A10" s="122" t="s">
        <v>43</v>
      </c>
      <c r="B10" s="122" t="s">
        <v>2</v>
      </c>
      <c r="C10" s="122" t="s">
        <v>3</v>
      </c>
      <c r="D10" s="122" t="s">
        <v>4</v>
      </c>
      <c r="E10" s="122" t="s">
        <v>99</v>
      </c>
      <c r="F10" s="122" t="s">
        <v>107</v>
      </c>
      <c r="G10" s="122" t="s">
        <v>104</v>
      </c>
      <c r="H10" s="132" t="s">
        <v>105</v>
      </c>
      <c r="I10" s="132" t="s">
        <v>106</v>
      </c>
      <c r="J10" s="122" t="s">
        <v>44</v>
      </c>
    </row>
    <row r="11" spans="1:10" s="35" customFormat="1" ht="17.25" customHeight="1" x14ac:dyDescent="0.25">
      <c r="A11" s="122"/>
      <c r="B11" s="122"/>
      <c r="C11" s="122"/>
      <c r="D11" s="122"/>
      <c r="E11" s="122"/>
      <c r="F11" s="122"/>
      <c r="G11" s="122"/>
      <c r="H11" s="133"/>
      <c r="I11" s="133"/>
      <c r="J11" s="122"/>
    </row>
    <row r="12" spans="1:10" s="35" customFormat="1" ht="17.25" customHeight="1" x14ac:dyDescent="0.25">
      <c r="A12" s="59">
        <v>1</v>
      </c>
      <c r="B12" s="126" t="str">
        <f>+'ORÇAMENTO ANALÍTICO'!C12</f>
        <v>SERVIÇO DE MANUTENÇÃO PREVENTIVA</v>
      </c>
      <c r="C12" s="127"/>
      <c r="D12" s="127"/>
      <c r="E12" s="127"/>
      <c r="F12" s="127"/>
      <c r="G12" s="128"/>
      <c r="H12" s="25"/>
      <c r="I12" s="25">
        <f>I13</f>
        <v>692740.54465749953</v>
      </c>
      <c r="J12" s="60">
        <f>J13</f>
        <v>0.58961355764324652</v>
      </c>
    </row>
    <row r="13" spans="1:10" ht="17.25" customHeight="1" x14ac:dyDescent="0.25">
      <c r="A13" s="61" t="s">
        <v>46</v>
      </c>
      <c r="B13" s="67" t="s">
        <v>45</v>
      </c>
      <c r="C13" s="68" t="s">
        <v>9</v>
      </c>
      <c r="D13" s="67" t="s">
        <v>84</v>
      </c>
      <c r="E13" s="67" t="s">
        <v>83</v>
      </c>
      <c r="F13" s="71">
        <v>12</v>
      </c>
      <c r="G13" s="69">
        <f>'ORÇAMENTO ANALÍTICO'!G23/12</f>
        <v>43908.428400000004</v>
      </c>
      <c r="H13" s="69">
        <f>G13*(1+BDI!E23)</f>
        <v>57728.378721458292</v>
      </c>
      <c r="I13" s="67">
        <f>H13*F13</f>
        <v>692740.54465749953</v>
      </c>
      <c r="J13" s="61">
        <f>I13/$I$19</f>
        <v>0.58961355764324652</v>
      </c>
    </row>
    <row r="14" spans="1:10" s="35" customFormat="1" ht="17.25" customHeight="1" x14ac:dyDescent="0.25">
      <c r="A14" s="59">
        <v>2</v>
      </c>
      <c r="B14" s="129" t="str">
        <f>'ORÇAMENTO ANALÍTICO'!B25:H25</f>
        <v>SERVIÇO DE MANUTENÇÃO CORRETIVA</v>
      </c>
      <c r="C14" s="130"/>
      <c r="D14" s="130"/>
      <c r="E14" s="130"/>
      <c r="F14" s="130"/>
      <c r="G14" s="131"/>
      <c r="H14" s="70"/>
      <c r="I14" s="70">
        <f>I15</f>
        <v>482165.51996296737</v>
      </c>
      <c r="J14" s="60">
        <f>I14/$I$19</f>
        <v>0.41038644235675353</v>
      </c>
    </row>
    <row r="15" spans="1:10" ht="17.25" customHeight="1" x14ac:dyDescent="0.25">
      <c r="A15" s="61" t="s">
        <v>47</v>
      </c>
      <c r="B15" s="67" t="s">
        <v>48</v>
      </c>
      <c r="C15" s="68" t="s">
        <v>9</v>
      </c>
      <c r="D15" s="67" t="s">
        <v>85</v>
      </c>
      <c r="E15" s="67" t="s">
        <v>83</v>
      </c>
      <c r="F15" s="71">
        <v>12</v>
      </c>
      <c r="G15" s="69">
        <f>'ORÇAMENTO ANALÍTICO'!G48/12</f>
        <v>30561.41346643717</v>
      </c>
      <c r="H15" s="69">
        <f>G15*(1+BDI!E23)</f>
        <v>40180.459996913945</v>
      </c>
      <c r="I15" s="67">
        <f>H15*F15</f>
        <v>482165.51996296737</v>
      </c>
      <c r="J15" s="63">
        <f>I15/$I$19</f>
        <v>0.41038644235675353</v>
      </c>
    </row>
    <row r="16" spans="1:10" x14ac:dyDescent="0.25"/>
    <row r="17" spans="4:9" ht="20.25" customHeight="1" x14ac:dyDescent="0.25">
      <c r="G17" s="123" t="s">
        <v>49</v>
      </c>
      <c r="H17" s="123"/>
      <c r="I17" s="26">
        <f>G13*F13+G15*F15</f>
        <v>893638.10239724605</v>
      </c>
    </row>
    <row r="18" spans="4:9" ht="20.25" customHeight="1" x14ac:dyDescent="0.25">
      <c r="G18" s="123" t="s">
        <v>50</v>
      </c>
      <c r="H18" s="123"/>
      <c r="I18" s="27">
        <f>I19-I17</f>
        <v>281267.96222322085</v>
      </c>
    </row>
    <row r="19" spans="4:9" ht="20.25" customHeight="1" x14ac:dyDescent="0.25">
      <c r="G19" s="123" t="s">
        <v>51</v>
      </c>
      <c r="H19" s="123"/>
      <c r="I19" s="26">
        <f>I13+I15</f>
        <v>1174906.0646204669</v>
      </c>
    </row>
    <row r="20" spans="4:9" x14ac:dyDescent="0.25">
      <c r="D20" s="66"/>
      <c r="F20" s="32"/>
      <c r="I20" s="31"/>
    </row>
    <row r="21" spans="4:9" hidden="1" x14ac:dyDescent="0.25">
      <c r="I21" s="32"/>
    </row>
    <row r="28" spans="4:9" x14ac:dyDescent="0.25"/>
    <row r="29" spans="4:9" x14ac:dyDescent="0.25">
      <c r="I29" s="78"/>
    </row>
    <row r="30" spans="4:9" x14ac:dyDescent="0.25"/>
    <row r="31" spans="4:9" x14ac:dyDescent="0.25"/>
    <row r="32" spans="4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</sheetData>
  <mergeCells count="16">
    <mergeCell ref="G10:G11"/>
    <mergeCell ref="G19:H19"/>
    <mergeCell ref="G18:H18"/>
    <mergeCell ref="G17:H17"/>
    <mergeCell ref="A8:J8"/>
    <mergeCell ref="A10:A11"/>
    <mergeCell ref="J10:J11"/>
    <mergeCell ref="B12:G12"/>
    <mergeCell ref="B14:G14"/>
    <mergeCell ref="H10:H11"/>
    <mergeCell ref="I10:I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  <ignoredErrors>
    <ignoredError sqref="I13:I14" formula="1"/>
    <ignoredError sqref="J12:J1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ANALÍTICO</vt:lpstr>
      <vt:lpstr>BDI</vt:lpstr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FIOCRUZ/Serviço de Eficiência Energética</dc:creator>
  <cp:lastModifiedBy>Denise Vieira de Almeida</cp:lastModifiedBy>
  <cp:lastPrinted>2023-02-24T13:03:00Z</cp:lastPrinted>
  <dcterms:created xsi:type="dcterms:W3CDTF">2019-09-12T12:28:24Z</dcterms:created>
  <dcterms:modified xsi:type="dcterms:W3CDTF">2023-02-24T13:06:13Z</dcterms:modified>
</cp:coreProperties>
</file>